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K Arquivos\PASTAS\Visão Participação e Construção Ltda\Serviços\Concluídos\PROJETO RECAPEAMENTO MORRINHOS\REV. 03\PROJETOS\"/>
    </mc:Choice>
  </mc:AlternateContent>
  <bookViews>
    <workbookView xWindow="-120" yWindow="-120" windowWidth="20730" windowHeight="11160" activeTab="2"/>
  </bookViews>
  <sheets>
    <sheet name="Planilha1" sheetId="1" r:id="rId1"/>
    <sheet name="Planilha2" sheetId="3" r:id="rId2"/>
    <sheet name="Planilha3" sheetId="4" r:id="rId3"/>
    <sheet name="Planilha1 (2)" sheetId="2" r:id="rId4"/>
  </sheets>
  <externalReferences>
    <externalReference r:id="rId5"/>
  </externalReferences>
  <definedNames>
    <definedName name="ACOMPANHAMENTO" hidden="1">IF(VALUE([1]MENU!$O$4)=2,"BM","PLE")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" l="1"/>
  <c r="C7" i="4" l="1"/>
  <c r="D7" i="4"/>
  <c r="D8" i="4"/>
  <c r="D9" i="4"/>
  <c r="D10" i="4"/>
  <c r="D11" i="4"/>
  <c r="D12" i="4"/>
  <c r="D6" i="4"/>
  <c r="C6" i="4"/>
  <c r="C33" i="3"/>
  <c r="D33" i="3"/>
  <c r="E29" i="3"/>
  <c r="D29" i="3"/>
  <c r="E28" i="3"/>
  <c r="E27" i="3"/>
  <c r="E32" i="3"/>
  <c r="E31" i="3"/>
  <c r="D30" i="3"/>
  <c r="E30" i="3" s="1"/>
  <c r="E33" i="3" l="1"/>
  <c r="R9" i="2"/>
  <c r="P9" i="2"/>
  <c r="N9" i="2"/>
  <c r="L9" i="2"/>
  <c r="J9" i="2"/>
  <c r="H9" i="2"/>
  <c r="V5" i="2"/>
  <c r="T5" i="2"/>
  <c r="R5" i="2"/>
  <c r="P5" i="2"/>
  <c r="M5" i="2"/>
  <c r="N5" i="2" s="1"/>
  <c r="L5" i="2"/>
  <c r="I5" i="2"/>
  <c r="J5" i="2" s="1"/>
  <c r="W5" i="2" s="1"/>
  <c r="D5" i="2"/>
  <c r="F5" i="2" s="1"/>
  <c r="C5" i="2"/>
  <c r="V4" i="2"/>
  <c r="T4" i="2"/>
  <c r="R4" i="2"/>
  <c r="P4" i="2"/>
  <c r="M4" i="2"/>
  <c r="N4" i="2" s="1"/>
  <c r="L4" i="2"/>
  <c r="I4" i="2"/>
  <c r="J4" i="2" s="1"/>
  <c r="W4" i="2" s="1"/>
  <c r="D4" i="2"/>
  <c r="F4" i="2" s="1"/>
  <c r="C4" i="2"/>
  <c r="V3" i="2"/>
  <c r="T3" i="2"/>
  <c r="R3" i="2"/>
  <c r="P3" i="2"/>
  <c r="M3" i="2"/>
  <c r="N3" i="2" s="1"/>
  <c r="L3" i="2"/>
  <c r="I3" i="2"/>
  <c r="J3" i="2" s="1"/>
  <c r="H3" i="2"/>
  <c r="F3" i="2"/>
  <c r="D3" i="2"/>
  <c r="C3" i="2"/>
  <c r="H4" i="2" l="1"/>
  <c r="H5" i="2"/>
  <c r="W3" i="2"/>
  <c r="G23" i="1"/>
  <c r="D9" i="3"/>
  <c r="E9" i="3" s="1"/>
  <c r="E10" i="3"/>
  <c r="E11" i="3"/>
  <c r="E12" i="3"/>
  <c r="E13" i="3"/>
  <c r="E14" i="3"/>
  <c r="E15" i="3"/>
  <c r="E16" i="3"/>
  <c r="E17" i="3"/>
  <c r="D18" i="3"/>
  <c r="E18" i="3"/>
  <c r="E19" i="3"/>
  <c r="E20" i="3"/>
  <c r="D21" i="3"/>
  <c r="D22" i="3" s="1"/>
  <c r="E22" i="3" s="1"/>
  <c r="E21" i="3" l="1"/>
  <c r="G9" i="2"/>
  <c r="I6" i="2" l="1"/>
  <c r="M6" i="2"/>
  <c r="T6" i="2"/>
  <c r="T7" i="2"/>
  <c r="T8" i="2"/>
  <c r="J7" i="2"/>
  <c r="J8" i="2"/>
  <c r="J6" i="2"/>
  <c r="R7" i="2"/>
  <c r="R8" i="2"/>
  <c r="R6" i="2"/>
  <c r="L7" i="2"/>
  <c r="L8" i="2"/>
  <c r="L6" i="2"/>
  <c r="V8" i="2"/>
  <c r="P8" i="2"/>
  <c r="N8" i="2"/>
  <c r="F8" i="2"/>
  <c r="D8" i="2"/>
  <c r="H8" i="2" s="1"/>
  <c r="V7" i="2"/>
  <c r="P7" i="2"/>
  <c r="N7" i="2"/>
  <c r="D7" i="2"/>
  <c r="H7" i="2" s="1"/>
  <c r="V6" i="2"/>
  <c r="P6" i="2"/>
  <c r="N6" i="2"/>
  <c r="D6" i="2"/>
  <c r="F6" i="2" s="1"/>
  <c r="C6" i="2"/>
  <c r="C9" i="2" s="1"/>
  <c r="W7" i="2" l="1"/>
  <c r="W8" i="2"/>
  <c r="V9" i="2"/>
  <c r="D9" i="2"/>
  <c r="W6" i="2"/>
  <c r="H6" i="2"/>
  <c r="F7" i="2"/>
  <c r="F9" i="2" s="1"/>
  <c r="D3" i="1"/>
  <c r="U9" i="1" l="1"/>
  <c r="U10" i="1"/>
  <c r="U12" i="1"/>
  <c r="J23" i="1"/>
  <c r="T10" i="1"/>
  <c r="T11" i="1"/>
  <c r="U11" i="1" s="1"/>
  <c r="T12" i="1"/>
  <c r="T13" i="1"/>
  <c r="T14" i="1"/>
  <c r="T15" i="1"/>
  <c r="T16" i="1"/>
  <c r="T17" i="1"/>
  <c r="T18" i="1"/>
  <c r="T19" i="1"/>
  <c r="T20" i="1"/>
  <c r="T21" i="1"/>
  <c r="T22" i="1"/>
  <c r="T3" i="1"/>
  <c r="U3" i="1" s="1"/>
  <c r="T4" i="1"/>
  <c r="U4" i="1" s="1"/>
  <c r="T5" i="1"/>
  <c r="T6" i="1"/>
  <c r="T7" i="1"/>
  <c r="T8" i="1"/>
  <c r="U8" i="1" s="1"/>
  <c r="T9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3" i="1"/>
  <c r="N4" i="1"/>
  <c r="N5" i="1"/>
  <c r="N6" i="1"/>
  <c r="N7" i="1"/>
  <c r="N11" i="1"/>
  <c r="N12" i="1"/>
  <c r="N13" i="1"/>
  <c r="N14" i="1"/>
  <c r="N15" i="1"/>
  <c r="N16" i="1"/>
  <c r="N17" i="1"/>
  <c r="N18" i="1"/>
  <c r="N19" i="1"/>
  <c r="N3" i="1"/>
  <c r="L4" i="1"/>
  <c r="L5" i="1"/>
  <c r="L6" i="1"/>
  <c r="L7" i="1"/>
  <c r="L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U22" i="1" s="1"/>
  <c r="L3" i="1"/>
  <c r="J7" i="1"/>
  <c r="J11" i="1"/>
  <c r="J13" i="1"/>
  <c r="J14" i="1"/>
  <c r="J15" i="1"/>
  <c r="J16" i="1"/>
  <c r="J18" i="1"/>
  <c r="J19" i="1"/>
  <c r="J3" i="1"/>
  <c r="I17" i="1"/>
  <c r="J17" i="1" s="1"/>
  <c r="I15" i="1"/>
  <c r="I12" i="1"/>
  <c r="J12" i="1" s="1"/>
  <c r="K12" i="1"/>
  <c r="L12" i="1" s="1"/>
  <c r="I3" i="1"/>
  <c r="I8" i="1"/>
  <c r="J8" i="1" s="1"/>
  <c r="I9" i="1"/>
  <c r="J9" i="1" s="1"/>
  <c r="I10" i="1"/>
  <c r="J10" i="1" s="1"/>
  <c r="I11" i="1"/>
  <c r="M10" i="1"/>
  <c r="N10" i="1" s="1"/>
  <c r="M9" i="1"/>
  <c r="N9" i="1" s="1"/>
  <c r="M8" i="1"/>
  <c r="N8" i="1" s="1"/>
  <c r="I7" i="1"/>
  <c r="I6" i="1"/>
  <c r="J6" i="1" s="1"/>
  <c r="I5" i="1"/>
  <c r="J5" i="1" s="1"/>
  <c r="I4" i="1"/>
  <c r="J4" i="1" s="1"/>
  <c r="Q3" i="1"/>
  <c r="M3" i="1"/>
  <c r="M22" i="1"/>
  <c r="N22" i="1" s="1"/>
  <c r="I22" i="1"/>
  <c r="J22" i="1" s="1"/>
  <c r="M21" i="1"/>
  <c r="N21" i="1" s="1"/>
  <c r="I21" i="1"/>
  <c r="J21" i="1" s="1"/>
  <c r="M20" i="1"/>
  <c r="N20" i="1" s="1"/>
  <c r="I20" i="1"/>
  <c r="J20" i="1" s="1"/>
  <c r="D22" i="1"/>
  <c r="F22" i="1" s="1"/>
  <c r="C22" i="1"/>
  <c r="H22" i="1" s="1"/>
  <c r="D21" i="1"/>
  <c r="F21" i="1" s="1"/>
  <c r="C21" i="1"/>
  <c r="H21" i="1" s="1"/>
  <c r="D20" i="1"/>
  <c r="F20" i="1" s="1"/>
  <c r="C20" i="1"/>
  <c r="H20" i="1" s="1"/>
  <c r="D19" i="1"/>
  <c r="D18" i="1"/>
  <c r="H18" i="1" s="1"/>
  <c r="D7" i="1"/>
  <c r="H7" i="1" s="1"/>
  <c r="D23" i="1"/>
  <c r="C3" i="1"/>
  <c r="C23" i="1" s="1"/>
  <c r="D16" i="1"/>
  <c r="H16" i="1" s="1"/>
  <c r="F16" i="1"/>
  <c r="F19" i="1"/>
  <c r="H19" i="1"/>
  <c r="D17" i="1"/>
  <c r="F17" i="1" s="1"/>
  <c r="D15" i="1"/>
  <c r="H15" i="1" s="1"/>
  <c r="D14" i="1"/>
  <c r="H14" i="1" s="1"/>
  <c r="D13" i="1"/>
  <c r="F13" i="1" s="1"/>
  <c r="D12" i="1"/>
  <c r="H12" i="1" s="1"/>
  <c r="D11" i="1"/>
  <c r="H11" i="1" s="1"/>
  <c r="D10" i="1"/>
  <c r="H10" i="1" s="1"/>
  <c r="D9" i="1"/>
  <c r="F9" i="1" s="1"/>
  <c r="D8" i="1"/>
  <c r="H8" i="1" s="1"/>
  <c r="D6" i="1"/>
  <c r="H6" i="1" s="1"/>
  <c r="D5" i="1"/>
  <c r="F5" i="1" s="1"/>
  <c r="D4" i="1"/>
  <c r="H4" i="1" s="1"/>
  <c r="F3" i="1"/>
  <c r="U21" i="1" l="1"/>
  <c r="U20" i="1"/>
  <c r="U5" i="1"/>
  <c r="T23" i="1"/>
  <c r="U14" i="1"/>
  <c r="R23" i="1"/>
  <c r="U19" i="1"/>
  <c r="U17" i="1"/>
  <c r="U15" i="1"/>
  <c r="P23" i="1"/>
  <c r="U7" i="1"/>
  <c r="U6" i="1"/>
  <c r="U18" i="1"/>
  <c r="U16" i="1"/>
  <c r="N23" i="1"/>
  <c r="L23" i="1"/>
  <c r="U13" i="1"/>
  <c r="H9" i="1"/>
  <c r="F12" i="1"/>
  <c r="H5" i="1"/>
  <c r="F8" i="1"/>
  <c r="H17" i="1"/>
  <c r="F4" i="1"/>
  <c r="H13" i="1"/>
  <c r="F15" i="1"/>
  <c r="F11" i="1"/>
  <c r="F7" i="1"/>
  <c r="H3" i="1"/>
  <c r="H23" i="1" s="1"/>
  <c r="F18" i="1"/>
  <c r="F14" i="1"/>
  <c r="F10" i="1"/>
  <c r="F6" i="1"/>
  <c r="U23" i="1" l="1"/>
</calcChain>
</file>

<file path=xl/sharedStrings.xml><?xml version="1.0" encoding="utf-8"?>
<sst xmlns="http://schemas.openxmlformats.org/spreadsheetml/2006/main" count="119" uniqueCount="47">
  <si>
    <t>TRECHO</t>
  </si>
  <si>
    <t>ÁREA</t>
  </si>
  <si>
    <t>AVENIDA G - RUA VINTE E SETE</t>
  </si>
  <si>
    <t>RUA VINTE E SETE - VINTE E SEIS</t>
  </si>
  <si>
    <t>RUA VINTE E SEIS - RUA DA FEIRA</t>
  </si>
  <si>
    <t>RUA DA FEIRA - RUA VINTE E CINCO</t>
  </si>
  <si>
    <t>RUA VINTE E CINCO - RUA X</t>
  </si>
  <si>
    <t>RUA X - RUA MAJOR EVARISTO FRAUZINO</t>
  </si>
  <si>
    <t>RUA MAJOR EVARISTO FRAUZINO - RUA SETE DE SETEMBRO</t>
  </si>
  <si>
    <t>RUA SETE DE SETEMBRO - RUA MAESTRO VICENTE</t>
  </si>
  <si>
    <t>RUA MAESTRO VICENTE - RUA CEL. JOÃO LOPES</t>
  </si>
  <si>
    <t>RUA CEL. JOÃO LOPES - AV COUTO DE MAGELHÃES</t>
  </si>
  <si>
    <t>AV. COUTO DE MAGALHÃES - PRAÇA DOUTOR RAUL</t>
  </si>
  <si>
    <t>PRAÇA DOUTOR RAUL - RUA RIO GRANDE DO SUL</t>
  </si>
  <si>
    <t>RUA RIO GRANDE DO SUL - RUA BARÃO DO R. BRANCO</t>
  </si>
  <si>
    <t>RUA BARÃO DO RIO BRANCO - RUA D. PEDRO II</t>
  </si>
  <si>
    <t>RUA D. PEDRO II - RUA MINAS GERAIS</t>
  </si>
  <si>
    <t>RUA MINAS GERAIS - RUA SÃO PAULO</t>
  </si>
  <si>
    <t>RUA SÃO PAULO - RUA ALAGOAS</t>
  </si>
  <si>
    <t>ÁREA (M2)</t>
  </si>
  <si>
    <t>LARGURA (M)</t>
  </si>
  <si>
    <t>COMPRIMENTO (M)</t>
  </si>
  <si>
    <t>DEMOLIÇÃO E SARJETA</t>
  </si>
  <si>
    <t>MEIO-FIO</t>
  </si>
  <si>
    <t>INTERVENÇÃO</t>
  </si>
  <si>
    <t>RECAPEAMENTO</t>
  </si>
  <si>
    <t>AVENIDA B - RUA UM</t>
  </si>
  <si>
    <t>RUA UM - RUA ONZE</t>
  </si>
  <si>
    <t>RUA ONZE - AVENIDA G</t>
  </si>
  <si>
    <t>SINALIZAÇÃO HORIZONTAL</t>
  </si>
  <si>
    <t>FAIXA SIMPLES (M)</t>
  </si>
  <si>
    <t>PARE (UND)</t>
  </si>
  <si>
    <t>FAIXA ORDENAMENTO (M)</t>
  </si>
  <si>
    <t>FAIXA CONTENÇÃO (M)</t>
  </si>
  <si>
    <t>FAIXA SIMPLES AMARELA (M)</t>
  </si>
  <si>
    <t>FAIXA DE PEDESTRE (M)</t>
  </si>
  <si>
    <t>ÁREA TOTAL</t>
  </si>
  <si>
    <t>ÁREA TOTAL (M2)</t>
  </si>
  <si>
    <t>TOTAL</t>
  </si>
  <si>
    <t>LINHA SIMPLES CONTÍNUA (M)</t>
  </si>
  <si>
    <t>LMS 2 - LINHA SIMPLES SECCIONADA (M)</t>
  </si>
  <si>
    <t>LRE - LINHA DE RETENÇÃO (M)</t>
  </si>
  <si>
    <t>LINHA DUPLA CONTÍNUA (M)</t>
  </si>
  <si>
    <t>LFO - LINHA FLUXO OPOSTO - LFO 1 AMARELA (M)</t>
  </si>
  <si>
    <t>COMPRIMENTO (M2)</t>
  </si>
  <si>
    <t>LARGURA MÉDIA (M)</t>
  </si>
  <si>
    <t>RUA CEL. JOÃO LOPES - AV COUTO DE MAGALHÃES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</si>
</sst>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0" fillId="0" borderId="0" xfId="0" applyNumberFormat="1" applyBorder="1"/>
    <xf numFmtId="0" fontId="1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ILHA%20M&#218;LTIPLA%20600M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ÚLTIPLA 600MIL"/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>
        <row r="4">
          <cell r="O4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workbookViewId="0">
      <selection activeCell="B1" sqref="B1:U23"/>
    </sheetView>
  </sheetViews>
  <sheetFormatPr defaultRowHeight="15" x14ac:dyDescent="0.25"/>
  <cols>
    <col min="2" max="2" width="53.85546875" bestFit="1" customWidth="1"/>
    <col min="3" max="3" width="13.85546875" hidden="1" customWidth="1"/>
    <col min="4" max="4" width="8" hidden="1" customWidth="1"/>
    <col min="5" max="5" width="9" hidden="1" customWidth="1"/>
    <col min="6" max="6" width="15" hidden="1" customWidth="1"/>
    <col min="7" max="7" width="14.85546875" hidden="1" customWidth="1"/>
    <col min="8" max="8" width="15.7109375" hidden="1" customWidth="1"/>
    <col min="9" max="10" width="12.5703125" customWidth="1"/>
    <col min="11" max="12" width="14.7109375" customWidth="1"/>
    <col min="13" max="14" width="14.5703125" customWidth="1"/>
    <col min="17" max="18" width="15.140625" customWidth="1"/>
    <col min="19" max="19" width="15.42578125" customWidth="1"/>
  </cols>
  <sheetData>
    <row r="1" spans="2:21" x14ac:dyDescent="0.25">
      <c r="C1" t="s">
        <v>24</v>
      </c>
      <c r="D1" s="23" t="s">
        <v>22</v>
      </c>
      <c r="E1" s="23"/>
      <c r="F1" s="23"/>
      <c r="G1" s="2" t="s">
        <v>23</v>
      </c>
      <c r="H1" t="s">
        <v>25</v>
      </c>
      <c r="I1" s="24" t="s">
        <v>29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45" x14ac:dyDescent="0.25">
      <c r="B2" s="2" t="s">
        <v>0</v>
      </c>
      <c r="C2" s="3" t="s">
        <v>19</v>
      </c>
      <c r="D2" s="3" t="s">
        <v>19</v>
      </c>
      <c r="E2" s="3" t="s">
        <v>20</v>
      </c>
      <c r="F2" s="3" t="s">
        <v>21</v>
      </c>
      <c r="G2" s="3" t="s">
        <v>21</v>
      </c>
      <c r="H2" s="3" t="s">
        <v>19</v>
      </c>
      <c r="I2" s="3" t="s">
        <v>30</v>
      </c>
      <c r="J2" s="3" t="s">
        <v>1</v>
      </c>
      <c r="K2" s="3" t="s">
        <v>34</v>
      </c>
      <c r="L2" s="3" t="s">
        <v>1</v>
      </c>
      <c r="M2" s="3" t="s">
        <v>33</v>
      </c>
      <c r="N2" s="3" t="s">
        <v>1</v>
      </c>
      <c r="O2" s="3" t="s">
        <v>31</v>
      </c>
      <c r="P2" s="3" t="s">
        <v>1</v>
      </c>
      <c r="Q2" s="3" t="s">
        <v>32</v>
      </c>
      <c r="R2" s="3" t="s">
        <v>1</v>
      </c>
      <c r="S2" s="3" t="s">
        <v>35</v>
      </c>
      <c r="T2" s="3" t="s">
        <v>1</v>
      </c>
      <c r="U2" s="3" t="s">
        <v>36</v>
      </c>
    </row>
    <row r="3" spans="2:21" x14ac:dyDescent="0.25">
      <c r="B3" t="s">
        <v>2</v>
      </c>
      <c r="C3">
        <f>4279.83-114.58-137.68</f>
        <v>4027.57</v>
      </c>
      <c r="D3">
        <f>3.26+41.45+24.31+4.49+41.11+6.83</f>
        <v>121.44999999999999</v>
      </c>
      <c r="E3" s="1">
        <v>0.3</v>
      </c>
      <c r="F3" s="1">
        <f>D3/E3</f>
        <v>404.83333333333331</v>
      </c>
      <c r="G3" s="1">
        <v>0</v>
      </c>
      <c r="H3">
        <f>C3-D3</f>
        <v>3906.1200000000003</v>
      </c>
      <c r="I3" s="21">
        <f>149.19+127.74+65.92+56.95-45</f>
        <v>354.8</v>
      </c>
      <c r="J3" s="21">
        <f>I3*0.15/4</f>
        <v>13.305</v>
      </c>
      <c r="K3" s="21">
        <v>24.68</v>
      </c>
      <c r="L3" s="21">
        <f>K3*0.15/4</f>
        <v>0.92549999999999999</v>
      </c>
      <c r="M3" s="21">
        <f>9.74+7.89+8.26</f>
        <v>25.89</v>
      </c>
      <c r="N3" s="21">
        <f>M3*0.3</f>
        <v>7.7669999999999995</v>
      </c>
      <c r="O3" s="21">
        <v>6</v>
      </c>
      <c r="P3" s="21">
        <f>O3*3.19</f>
        <v>19.14</v>
      </c>
      <c r="Q3" s="21">
        <f>15+15+15</f>
        <v>45</v>
      </c>
      <c r="R3" s="21">
        <f>Q3*0.15</f>
        <v>6.75</v>
      </c>
      <c r="S3" s="21">
        <v>0</v>
      </c>
      <c r="T3" s="21">
        <f t="shared" ref="T3:T22" si="0">S3*3*0.3/2</f>
        <v>0</v>
      </c>
      <c r="U3" s="21">
        <f>J3+L3+N3+P3+R3+T3</f>
        <v>47.887500000000003</v>
      </c>
    </row>
    <row r="4" spans="2:21" x14ac:dyDescent="0.25">
      <c r="B4" t="s">
        <v>3</v>
      </c>
      <c r="C4">
        <v>812.25</v>
      </c>
      <c r="D4">
        <f>17.29+14.19</f>
        <v>31.479999999999997</v>
      </c>
      <c r="E4" s="1">
        <v>0.3</v>
      </c>
      <c r="F4" s="1">
        <f t="shared" ref="F4:F22" si="1">D4/E4</f>
        <v>104.93333333333332</v>
      </c>
      <c r="G4" s="1">
        <v>0</v>
      </c>
      <c r="H4">
        <f t="shared" ref="H4:H22" si="2">C4-D4</f>
        <v>780.77</v>
      </c>
      <c r="I4" s="21">
        <f>58.84+60.85</f>
        <v>119.69</v>
      </c>
      <c r="J4" s="21">
        <f t="shared" ref="J4:J22" si="3">I4*0.15/4</f>
        <v>4.4883749999999996</v>
      </c>
      <c r="K4" s="21">
        <v>59.84</v>
      </c>
      <c r="L4" s="21">
        <f t="shared" ref="L4:L22" si="4">K4*0.15/4</f>
        <v>2.2440000000000002</v>
      </c>
      <c r="M4" s="21">
        <v>0</v>
      </c>
      <c r="N4" s="21">
        <f t="shared" ref="N4:N22" si="5">M4*0.3</f>
        <v>0</v>
      </c>
      <c r="O4" s="21">
        <v>0</v>
      </c>
      <c r="P4" s="21">
        <f t="shared" ref="P4:P22" si="6">O4*3.19</f>
        <v>0</v>
      </c>
      <c r="Q4" s="21">
        <v>0</v>
      </c>
      <c r="R4" s="21">
        <f t="shared" ref="R4:R22" si="7">Q4*0.15</f>
        <v>0</v>
      </c>
      <c r="S4" s="21">
        <v>0</v>
      </c>
      <c r="T4" s="21">
        <f t="shared" si="0"/>
        <v>0</v>
      </c>
      <c r="U4" s="21">
        <f t="shared" ref="U4:U23" si="8">J4+L4+N4+P4+R4+T4</f>
        <v>6.7323749999999993</v>
      </c>
    </row>
    <row r="5" spans="2:21" x14ac:dyDescent="0.25">
      <c r="B5" t="s">
        <v>4</v>
      </c>
      <c r="C5">
        <v>1051.5</v>
      </c>
      <c r="D5">
        <f>20+26.75</f>
        <v>46.75</v>
      </c>
      <c r="E5" s="1">
        <v>0.3</v>
      </c>
      <c r="F5" s="1">
        <f t="shared" si="1"/>
        <v>155.83333333333334</v>
      </c>
      <c r="G5" s="1">
        <v>0</v>
      </c>
      <c r="H5">
        <f t="shared" si="2"/>
        <v>1004.75</v>
      </c>
      <c r="I5" s="21">
        <f>88.79+88.86</f>
        <v>177.65</v>
      </c>
      <c r="J5" s="21">
        <f t="shared" si="3"/>
        <v>6.6618750000000002</v>
      </c>
      <c r="K5" s="21">
        <v>88.86</v>
      </c>
      <c r="L5" s="21">
        <f t="shared" si="4"/>
        <v>3.3322499999999997</v>
      </c>
      <c r="M5" s="21">
        <v>0</v>
      </c>
      <c r="N5" s="21">
        <f t="shared" si="5"/>
        <v>0</v>
      </c>
      <c r="O5" s="21">
        <v>0</v>
      </c>
      <c r="P5" s="21">
        <f t="shared" si="6"/>
        <v>0</v>
      </c>
      <c r="Q5" s="21">
        <v>0</v>
      </c>
      <c r="R5" s="21">
        <f t="shared" si="7"/>
        <v>0</v>
      </c>
      <c r="S5" s="21">
        <v>0</v>
      </c>
      <c r="T5" s="21">
        <f t="shared" si="0"/>
        <v>0</v>
      </c>
      <c r="U5" s="21">
        <f t="shared" si="8"/>
        <v>9.9941250000000004</v>
      </c>
    </row>
    <row r="6" spans="2:21" x14ac:dyDescent="0.25">
      <c r="B6" t="s">
        <v>5</v>
      </c>
      <c r="C6">
        <v>828.62</v>
      </c>
      <c r="D6">
        <f>20.88+16.89</f>
        <v>37.769999999999996</v>
      </c>
      <c r="E6" s="1">
        <v>0.3</v>
      </c>
      <c r="F6" s="1">
        <f t="shared" si="1"/>
        <v>125.89999999999999</v>
      </c>
      <c r="G6" s="1">
        <v>0</v>
      </c>
      <c r="H6">
        <f t="shared" si="2"/>
        <v>790.85</v>
      </c>
      <c r="I6" s="21">
        <f>69.41+69.27</f>
        <v>138.68</v>
      </c>
      <c r="J6" s="21">
        <f t="shared" si="3"/>
        <v>5.2004999999999999</v>
      </c>
      <c r="K6" s="21">
        <v>69.27</v>
      </c>
      <c r="L6" s="21">
        <f t="shared" si="4"/>
        <v>2.5976249999999999</v>
      </c>
      <c r="M6" s="21">
        <v>0</v>
      </c>
      <c r="N6" s="21">
        <f t="shared" si="5"/>
        <v>0</v>
      </c>
      <c r="O6" s="21">
        <v>0</v>
      </c>
      <c r="P6" s="21">
        <f t="shared" si="6"/>
        <v>0</v>
      </c>
      <c r="Q6" s="21">
        <v>0</v>
      </c>
      <c r="R6" s="21">
        <f t="shared" si="7"/>
        <v>0</v>
      </c>
      <c r="S6" s="21">
        <v>0</v>
      </c>
      <c r="T6" s="21">
        <f t="shared" si="0"/>
        <v>0</v>
      </c>
      <c r="U6" s="21">
        <f t="shared" si="8"/>
        <v>7.7981249999999998</v>
      </c>
    </row>
    <row r="7" spans="2:21" x14ac:dyDescent="0.25">
      <c r="B7" t="s">
        <v>6</v>
      </c>
      <c r="C7">
        <v>500.78</v>
      </c>
      <c r="D7">
        <f>9.5+12.81+0.42</f>
        <v>22.730000000000004</v>
      </c>
      <c r="E7" s="1">
        <v>0.3</v>
      </c>
      <c r="F7" s="1">
        <f t="shared" si="1"/>
        <v>75.76666666666668</v>
      </c>
      <c r="G7" s="1">
        <v>0</v>
      </c>
      <c r="H7">
        <f t="shared" si="2"/>
        <v>478.04999999999995</v>
      </c>
      <c r="I7" s="21">
        <f>42.39+42.56</f>
        <v>84.95</v>
      </c>
      <c r="J7" s="21">
        <f t="shared" si="3"/>
        <v>3.1856249999999999</v>
      </c>
      <c r="K7" s="21">
        <v>42.38</v>
      </c>
      <c r="L7" s="21">
        <f t="shared" si="4"/>
        <v>1.5892500000000001</v>
      </c>
      <c r="M7" s="21">
        <v>0</v>
      </c>
      <c r="N7" s="21">
        <f t="shared" si="5"/>
        <v>0</v>
      </c>
      <c r="O7" s="21">
        <v>0</v>
      </c>
      <c r="P7" s="21">
        <f t="shared" si="6"/>
        <v>0</v>
      </c>
      <c r="Q7" s="21">
        <v>0</v>
      </c>
      <c r="R7" s="21">
        <f t="shared" si="7"/>
        <v>0</v>
      </c>
      <c r="S7" s="21">
        <v>0</v>
      </c>
      <c r="T7" s="21">
        <f t="shared" si="0"/>
        <v>0</v>
      </c>
      <c r="U7" s="21">
        <f t="shared" si="8"/>
        <v>4.7748749999999998</v>
      </c>
    </row>
    <row r="8" spans="2:21" x14ac:dyDescent="0.25">
      <c r="B8" t="s">
        <v>7</v>
      </c>
      <c r="C8">
        <v>915.48</v>
      </c>
      <c r="D8">
        <f>18.2+0.82+0.44+18.55</f>
        <v>38.010000000000005</v>
      </c>
      <c r="E8" s="1">
        <v>0.3</v>
      </c>
      <c r="F8" s="1">
        <f t="shared" si="1"/>
        <v>126.70000000000002</v>
      </c>
      <c r="G8" s="1">
        <v>0</v>
      </c>
      <c r="H8">
        <f t="shared" si="2"/>
        <v>877.47</v>
      </c>
      <c r="I8" s="21">
        <f>62.73+63-15</f>
        <v>110.72999999999999</v>
      </c>
      <c r="J8" s="21">
        <f t="shared" si="3"/>
        <v>4.1523749999999993</v>
      </c>
      <c r="K8" s="21">
        <v>62.86</v>
      </c>
      <c r="L8" s="21">
        <f t="shared" si="4"/>
        <v>2.3572500000000001</v>
      </c>
      <c r="M8" s="21">
        <f>9.6</f>
        <v>9.6</v>
      </c>
      <c r="N8" s="21">
        <f t="shared" si="5"/>
        <v>2.88</v>
      </c>
      <c r="O8" s="21">
        <v>2</v>
      </c>
      <c r="P8" s="21">
        <f t="shared" si="6"/>
        <v>6.38</v>
      </c>
      <c r="Q8" s="21">
        <v>15</v>
      </c>
      <c r="R8" s="21">
        <f t="shared" si="7"/>
        <v>2.25</v>
      </c>
      <c r="S8" s="21">
        <v>0</v>
      </c>
      <c r="T8" s="21">
        <f t="shared" si="0"/>
        <v>0</v>
      </c>
      <c r="U8" s="21">
        <f t="shared" si="8"/>
        <v>18.019624999999998</v>
      </c>
    </row>
    <row r="9" spans="2:21" x14ac:dyDescent="0.25">
      <c r="B9" t="s">
        <v>8</v>
      </c>
      <c r="C9">
        <v>1410.68</v>
      </c>
      <c r="D9">
        <f>31.37+0.83+31.3+0.72</f>
        <v>64.22</v>
      </c>
      <c r="E9" s="1">
        <v>0.3</v>
      </c>
      <c r="F9" s="1">
        <f t="shared" si="1"/>
        <v>214.06666666666666</v>
      </c>
      <c r="G9" s="1">
        <v>0</v>
      </c>
      <c r="H9">
        <f t="shared" si="2"/>
        <v>1346.46</v>
      </c>
      <c r="I9" s="21">
        <f>105.15+104.82-30</f>
        <v>179.97</v>
      </c>
      <c r="J9" s="21">
        <f t="shared" si="3"/>
        <v>6.748875</v>
      </c>
      <c r="K9" s="21">
        <v>105.14</v>
      </c>
      <c r="L9" s="21">
        <f t="shared" si="4"/>
        <v>3.9427499999999998</v>
      </c>
      <c r="M9" s="21">
        <f>5.39+7.94</f>
        <v>13.33</v>
      </c>
      <c r="N9" s="21">
        <f t="shared" si="5"/>
        <v>3.9989999999999997</v>
      </c>
      <c r="O9" s="21">
        <v>2</v>
      </c>
      <c r="P9" s="21">
        <f t="shared" si="6"/>
        <v>6.38</v>
      </c>
      <c r="Q9" s="21">
        <v>30</v>
      </c>
      <c r="R9" s="21">
        <f t="shared" si="7"/>
        <v>4.5</v>
      </c>
      <c r="S9" s="21">
        <v>10.7</v>
      </c>
      <c r="T9" s="21">
        <f>S9*3*0.3/2</f>
        <v>4.8149999999999986</v>
      </c>
      <c r="U9" s="21">
        <f t="shared" si="8"/>
        <v>30.385624999999997</v>
      </c>
    </row>
    <row r="10" spans="2:21" x14ac:dyDescent="0.25">
      <c r="B10" t="s">
        <v>9</v>
      </c>
      <c r="C10">
        <v>1399.99</v>
      </c>
      <c r="D10">
        <f>30.27+30.07+0.35+0.29</f>
        <v>60.980000000000004</v>
      </c>
      <c r="E10" s="1">
        <v>0.3</v>
      </c>
      <c r="F10" s="1">
        <f t="shared" si="1"/>
        <v>203.26666666666668</v>
      </c>
      <c r="G10" s="1">
        <v>5.05</v>
      </c>
      <c r="H10">
        <f t="shared" si="2"/>
        <v>1339.01</v>
      </c>
      <c r="I10" s="21">
        <f>104.45+105.01-30</f>
        <v>179.46</v>
      </c>
      <c r="J10" s="21">
        <f t="shared" si="3"/>
        <v>6.7297500000000001</v>
      </c>
      <c r="K10" s="21">
        <v>104.88</v>
      </c>
      <c r="L10" s="21">
        <f t="shared" si="4"/>
        <v>3.9329999999999998</v>
      </c>
      <c r="M10" s="21">
        <f>10.33+5.71</f>
        <v>16.04</v>
      </c>
      <c r="N10" s="21">
        <f t="shared" si="5"/>
        <v>4.8119999999999994</v>
      </c>
      <c r="O10" s="21">
        <v>2</v>
      </c>
      <c r="P10" s="21">
        <f t="shared" si="6"/>
        <v>6.38</v>
      </c>
      <c r="Q10" s="21">
        <v>30</v>
      </c>
      <c r="R10" s="21">
        <f t="shared" si="7"/>
        <v>4.5</v>
      </c>
      <c r="S10" s="21">
        <v>10.82</v>
      </c>
      <c r="T10" s="21">
        <f t="shared" si="0"/>
        <v>4.8689999999999998</v>
      </c>
      <c r="U10" s="21">
        <f t="shared" si="8"/>
        <v>31.223749999999999</v>
      </c>
    </row>
    <row r="11" spans="2:21" x14ac:dyDescent="0.25">
      <c r="B11" t="s">
        <v>10</v>
      </c>
      <c r="C11">
        <v>1654.75</v>
      </c>
      <c r="D11">
        <f>35.27+1.59+1.63+35.71</f>
        <v>74.200000000000017</v>
      </c>
      <c r="E11" s="1">
        <v>0.3</v>
      </c>
      <c r="F11" s="1">
        <f t="shared" si="1"/>
        <v>247.3333333333334</v>
      </c>
      <c r="G11" s="1">
        <v>4.4000000000000004</v>
      </c>
      <c r="H11">
        <f t="shared" si="2"/>
        <v>1580.55</v>
      </c>
      <c r="I11" s="21">
        <f>138.9+138.53-15</f>
        <v>262.43</v>
      </c>
      <c r="J11" s="21">
        <f t="shared" si="3"/>
        <v>9.8411249999999999</v>
      </c>
      <c r="K11" s="21">
        <v>137.02000000000001</v>
      </c>
      <c r="L11" s="21">
        <f t="shared" si="4"/>
        <v>5.1382500000000002</v>
      </c>
      <c r="M11" s="21">
        <v>9.31</v>
      </c>
      <c r="N11" s="21">
        <f t="shared" si="5"/>
        <v>2.7930000000000001</v>
      </c>
      <c r="O11" s="21">
        <v>2</v>
      </c>
      <c r="P11" s="21">
        <f t="shared" si="6"/>
        <v>6.38</v>
      </c>
      <c r="Q11" s="21">
        <v>15</v>
      </c>
      <c r="R11" s="21">
        <f t="shared" si="7"/>
        <v>2.25</v>
      </c>
      <c r="S11" s="21">
        <v>0</v>
      </c>
      <c r="T11" s="21">
        <f t="shared" si="0"/>
        <v>0</v>
      </c>
      <c r="U11" s="21">
        <f t="shared" si="8"/>
        <v>26.402374999999999</v>
      </c>
    </row>
    <row r="12" spans="2:21" x14ac:dyDescent="0.25">
      <c r="B12" t="s">
        <v>11</v>
      </c>
      <c r="C12">
        <v>1553.16</v>
      </c>
      <c r="D12">
        <f>31.96+31.75+6.14+1.87</f>
        <v>71.72</v>
      </c>
      <c r="E12" s="1">
        <v>0.3</v>
      </c>
      <c r="F12" s="1">
        <f t="shared" si="1"/>
        <v>239.06666666666666</v>
      </c>
      <c r="G12" s="1">
        <v>0</v>
      </c>
      <c r="H12">
        <f t="shared" si="2"/>
        <v>1481.44</v>
      </c>
      <c r="I12" s="21">
        <f>59.59+59.22+41.62+41.63-15-15+0.6</f>
        <v>172.66</v>
      </c>
      <c r="J12" s="21">
        <f t="shared" si="3"/>
        <v>6.4747499999999993</v>
      </c>
      <c r="K12" s="21">
        <f>54.69+41.63+0.6</f>
        <v>96.919999999999987</v>
      </c>
      <c r="L12" s="21">
        <f t="shared" si="4"/>
        <v>3.6344999999999992</v>
      </c>
      <c r="M12" s="21">
        <v>10.74</v>
      </c>
      <c r="N12" s="21">
        <f t="shared" si="5"/>
        <v>3.222</v>
      </c>
      <c r="O12" s="21">
        <v>0</v>
      </c>
      <c r="P12" s="21">
        <f t="shared" si="6"/>
        <v>0</v>
      </c>
      <c r="Q12" s="21">
        <v>30</v>
      </c>
      <c r="R12" s="21">
        <f t="shared" si="7"/>
        <v>4.5</v>
      </c>
      <c r="S12" s="21">
        <v>10.74</v>
      </c>
      <c r="T12" s="21">
        <f t="shared" si="0"/>
        <v>4.8329999999999993</v>
      </c>
      <c r="U12" s="21">
        <f t="shared" si="8"/>
        <v>22.664249999999996</v>
      </c>
    </row>
    <row r="13" spans="2:21" x14ac:dyDescent="0.25">
      <c r="B13" t="s">
        <v>12</v>
      </c>
      <c r="C13">
        <v>255.78</v>
      </c>
      <c r="D13">
        <f>7.12+11.5+0.26</f>
        <v>18.880000000000003</v>
      </c>
      <c r="E13" s="1">
        <v>0.3</v>
      </c>
      <c r="F13" s="1">
        <f t="shared" si="1"/>
        <v>62.933333333333344</v>
      </c>
      <c r="G13" s="1">
        <v>0</v>
      </c>
      <c r="H13">
        <f t="shared" si="2"/>
        <v>236.9</v>
      </c>
      <c r="I13" s="21">
        <v>38.299999999999997</v>
      </c>
      <c r="J13" s="21">
        <f t="shared" si="3"/>
        <v>1.4362499999999998</v>
      </c>
      <c r="K13" s="21">
        <v>0</v>
      </c>
      <c r="L13" s="21">
        <f t="shared" si="4"/>
        <v>0</v>
      </c>
      <c r="M13" s="21">
        <v>0</v>
      </c>
      <c r="N13" s="21">
        <f t="shared" si="5"/>
        <v>0</v>
      </c>
      <c r="O13" s="21">
        <v>0</v>
      </c>
      <c r="P13" s="21">
        <f t="shared" si="6"/>
        <v>0</v>
      </c>
      <c r="Q13" s="21">
        <v>0</v>
      </c>
      <c r="R13" s="21">
        <f t="shared" si="7"/>
        <v>0</v>
      </c>
      <c r="S13" s="21">
        <v>0</v>
      </c>
      <c r="T13" s="21">
        <f t="shared" si="0"/>
        <v>0</v>
      </c>
      <c r="U13" s="21">
        <f t="shared" si="8"/>
        <v>1.4362499999999998</v>
      </c>
    </row>
    <row r="14" spans="2:21" x14ac:dyDescent="0.25">
      <c r="B14" t="s">
        <v>13</v>
      </c>
      <c r="C14">
        <v>408.34</v>
      </c>
      <c r="D14">
        <f>15.85+0.53+0.55+15.77</f>
        <v>32.700000000000003</v>
      </c>
      <c r="E14" s="1">
        <v>0.3</v>
      </c>
      <c r="F14" s="1">
        <f t="shared" si="1"/>
        <v>109.00000000000001</v>
      </c>
      <c r="G14" s="1">
        <v>0</v>
      </c>
      <c r="H14">
        <f t="shared" si="2"/>
        <v>375.64</v>
      </c>
      <c r="I14" s="21">
        <v>64.75</v>
      </c>
      <c r="J14" s="21">
        <f t="shared" si="3"/>
        <v>2.4281250000000001</v>
      </c>
      <c r="K14" s="21">
        <v>0</v>
      </c>
      <c r="L14" s="21">
        <f t="shared" si="4"/>
        <v>0</v>
      </c>
      <c r="M14" s="21">
        <v>0</v>
      </c>
      <c r="N14" s="21">
        <f t="shared" si="5"/>
        <v>0</v>
      </c>
      <c r="O14" s="21">
        <v>0</v>
      </c>
      <c r="P14" s="21">
        <f t="shared" si="6"/>
        <v>0</v>
      </c>
      <c r="Q14" s="21">
        <v>0</v>
      </c>
      <c r="R14" s="21">
        <f t="shared" si="7"/>
        <v>0</v>
      </c>
      <c r="S14" s="21">
        <v>0</v>
      </c>
      <c r="T14" s="21">
        <f t="shared" si="0"/>
        <v>0</v>
      </c>
      <c r="U14" s="21">
        <f t="shared" si="8"/>
        <v>2.4281250000000001</v>
      </c>
    </row>
    <row r="15" spans="2:21" x14ac:dyDescent="0.25">
      <c r="B15" t="s">
        <v>14</v>
      </c>
      <c r="C15">
        <v>628.66999999999996</v>
      </c>
      <c r="D15">
        <f>26.47+26.16+0.5+0.46</f>
        <v>53.589999999999996</v>
      </c>
      <c r="E15" s="1">
        <v>0.3</v>
      </c>
      <c r="F15" s="1">
        <f t="shared" si="1"/>
        <v>178.63333333333333</v>
      </c>
      <c r="G15" s="1">
        <v>0</v>
      </c>
      <c r="H15">
        <f t="shared" si="2"/>
        <v>575.07999999999993</v>
      </c>
      <c r="I15" s="21">
        <f>84.33-15</f>
        <v>69.33</v>
      </c>
      <c r="J15" s="21">
        <f t="shared" si="3"/>
        <v>2.5998749999999999</v>
      </c>
      <c r="K15" s="21">
        <v>0</v>
      </c>
      <c r="L15" s="21">
        <f t="shared" si="4"/>
        <v>0</v>
      </c>
      <c r="M15" s="21">
        <v>5.76</v>
      </c>
      <c r="N15" s="21">
        <f t="shared" si="5"/>
        <v>1.728</v>
      </c>
      <c r="O15" s="21">
        <v>0</v>
      </c>
      <c r="P15" s="21">
        <f t="shared" si="6"/>
        <v>0</v>
      </c>
      <c r="Q15" s="21">
        <v>15</v>
      </c>
      <c r="R15" s="21">
        <f t="shared" si="7"/>
        <v>2.25</v>
      </c>
      <c r="S15" s="21">
        <v>5.76</v>
      </c>
      <c r="T15" s="21">
        <f t="shared" si="0"/>
        <v>2.5920000000000001</v>
      </c>
      <c r="U15" s="21">
        <f t="shared" si="8"/>
        <v>9.1698749999999993</v>
      </c>
    </row>
    <row r="16" spans="2:21" x14ac:dyDescent="0.25">
      <c r="B16" t="s">
        <v>15</v>
      </c>
      <c r="C16">
        <v>698.56</v>
      </c>
      <c r="D16">
        <f>15.94+0.91+29.03</f>
        <v>45.879999999999995</v>
      </c>
      <c r="E16" s="1">
        <v>0.3</v>
      </c>
      <c r="F16" s="1">
        <f t="shared" si="1"/>
        <v>152.93333333333334</v>
      </c>
      <c r="G16" s="1">
        <v>0</v>
      </c>
      <c r="H16">
        <f t="shared" si="2"/>
        <v>652.67999999999995</v>
      </c>
      <c r="I16" s="21">
        <v>106.68</v>
      </c>
      <c r="J16" s="21">
        <f t="shared" si="3"/>
        <v>4.0004999999999997</v>
      </c>
      <c r="K16" s="21">
        <v>0</v>
      </c>
      <c r="L16" s="21">
        <f t="shared" si="4"/>
        <v>0</v>
      </c>
      <c r="M16" s="21">
        <v>0</v>
      </c>
      <c r="N16" s="21">
        <f t="shared" si="5"/>
        <v>0</v>
      </c>
      <c r="O16" s="21">
        <v>0</v>
      </c>
      <c r="P16" s="21">
        <f t="shared" si="6"/>
        <v>0</v>
      </c>
      <c r="Q16" s="21">
        <v>0</v>
      </c>
      <c r="R16" s="21">
        <f t="shared" si="7"/>
        <v>0</v>
      </c>
      <c r="S16" s="21">
        <v>0</v>
      </c>
      <c r="T16" s="21">
        <f t="shared" si="0"/>
        <v>0</v>
      </c>
      <c r="U16" s="21">
        <f t="shared" si="8"/>
        <v>4.0004999999999997</v>
      </c>
    </row>
    <row r="17" spans="2:21" x14ac:dyDescent="0.25">
      <c r="B17" t="s">
        <v>16</v>
      </c>
      <c r="C17">
        <v>731.54</v>
      </c>
      <c r="D17">
        <f>26.67+23.99</f>
        <v>50.66</v>
      </c>
      <c r="E17" s="1">
        <v>0.3</v>
      </c>
      <c r="F17" s="1">
        <f t="shared" si="1"/>
        <v>168.86666666666667</v>
      </c>
      <c r="G17" s="1">
        <v>0</v>
      </c>
      <c r="H17">
        <f t="shared" si="2"/>
        <v>680.88</v>
      </c>
      <c r="I17" s="21">
        <f>10.04+86.72-10</f>
        <v>86.759999999999991</v>
      </c>
      <c r="J17" s="21">
        <f t="shared" si="3"/>
        <v>3.2534999999999994</v>
      </c>
      <c r="K17" s="21">
        <v>0</v>
      </c>
      <c r="L17" s="21">
        <f t="shared" si="4"/>
        <v>0</v>
      </c>
      <c r="M17" s="21">
        <v>6.12</v>
      </c>
      <c r="N17" s="21">
        <f t="shared" si="5"/>
        <v>1.8359999999999999</v>
      </c>
      <c r="O17" s="21">
        <v>0</v>
      </c>
      <c r="P17" s="21">
        <f t="shared" si="6"/>
        <v>0</v>
      </c>
      <c r="Q17" s="21">
        <v>10</v>
      </c>
      <c r="R17" s="21">
        <f t="shared" si="7"/>
        <v>1.5</v>
      </c>
      <c r="S17" s="21">
        <v>6.12</v>
      </c>
      <c r="T17" s="21">
        <f t="shared" si="0"/>
        <v>2.754</v>
      </c>
      <c r="U17" s="21">
        <f t="shared" si="8"/>
        <v>9.3434999999999988</v>
      </c>
    </row>
    <row r="18" spans="2:21" x14ac:dyDescent="0.25">
      <c r="B18" t="s">
        <v>17</v>
      </c>
      <c r="C18">
        <v>725.16</v>
      </c>
      <c r="D18">
        <f>17.79+27.38+0.89</f>
        <v>46.06</v>
      </c>
      <c r="E18" s="1">
        <v>0.3</v>
      </c>
      <c r="F18" s="1">
        <f t="shared" si="1"/>
        <v>153.53333333333336</v>
      </c>
      <c r="G18" s="1">
        <v>0</v>
      </c>
      <c r="H18">
        <f t="shared" si="2"/>
        <v>679.09999999999991</v>
      </c>
      <c r="I18" s="21">
        <v>106.12</v>
      </c>
      <c r="J18" s="21">
        <f t="shared" si="3"/>
        <v>3.9794999999999998</v>
      </c>
      <c r="K18" s="21">
        <v>0</v>
      </c>
      <c r="L18" s="21">
        <f t="shared" si="4"/>
        <v>0</v>
      </c>
      <c r="M18" s="21">
        <v>0</v>
      </c>
      <c r="N18" s="21">
        <f t="shared" si="5"/>
        <v>0</v>
      </c>
      <c r="O18" s="21">
        <v>0</v>
      </c>
      <c r="P18" s="21">
        <f t="shared" si="6"/>
        <v>0</v>
      </c>
      <c r="Q18" s="21">
        <v>0</v>
      </c>
      <c r="R18" s="21">
        <f t="shared" si="7"/>
        <v>0</v>
      </c>
      <c r="S18" s="21">
        <v>0</v>
      </c>
      <c r="T18" s="21">
        <f t="shared" si="0"/>
        <v>0</v>
      </c>
      <c r="U18" s="21">
        <f t="shared" si="8"/>
        <v>3.9794999999999998</v>
      </c>
    </row>
    <row r="19" spans="2:21" x14ac:dyDescent="0.25">
      <c r="B19" t="s">
        <v>18</v>
      </c>
      <c r="C19">
        <v>505.87</v>
      </c>
      <c r="D19">
        <f>11.75+4.71+25.16+1.72</f>
        <v>43.34</v>
      </c>
      <c r="E19" s="1">
        <v>0.3</v>
      </c>
      <c r="F19" s="1">
        <f t="shared" si="1"/>
        <v>144.4666666666667</v>
      </c>
      <c r="G19" s="1">
        <v>0</v>
      </c>
      <c r="H19">
        <f t="shared" si="2"/>
        <v>462.53</v>
      </c>
      <c r="I19" s="21">
        <v>82.37</v>
      </c>
      <c r="J19" s="21">
        <f t="shared" si="3"/>
        <v>3.0888750000000003</v>
      </c>
      <c r="K19" s="21">
        <v>0</v>
      </c>
      <c r="L19" s="21">
        <f t="shared" si="4"/>
        <v>0</v>
      </c>
      <c r="M19" s="21">
        <v>0</v>
      </c>
      <c r="N19" s="21">
        <f t="shared" si="5"/>
        <v>0</v>
      </c>
      <c r="O19" s="21">
        <v>0</v>
      </c>
      <c r="P19" s="21">
        <f t="shared" si="6"/>
        <v>0</v>
      </c>
      <c r="Q19" s="21">
        <v>0</v>
      </c>
      <c r="R19" s="21">
        <f t="shared" si="7"/>
        <v>0</v>
      </c>
      <c r="S19" s="21">
        <v>0</v>
      </c>
      <c r="T19" s="21">
        <f t="shared" si="0"/>
        <v>0</v>
      </c>
      <c r="U19" s="21">
        <f t="shared" si="8"/>
        <v>3.0888750000000003</v>
      </c>
    </row>
    <row r="20" spans="2:21" x14ac:dyDescent="0.25">
      <c r="B20" s="4" t="s">
        <v>26</v>
      </c>
      <c r="C20" s="6">
        <f>3274.59-959.31</f>
        <v>2315.2800000000002</v>
      </c>
      <c r="D20" s="3">
        <f>1.3+44.24+11.24+75.48</f>
        <v>132.26</v>
      </c>
      <c r="E20" s="5">
        <v>0.3</v>
      </c>
      <c r="F20" s="1">
        <f t="shared" si="1"/>
        <v>440.86666666666667</v>
      </c>
      <c r="G20" s="1">
        <v>16.434999999999999</v>
      </c>
      <c r="H20">
        <f t="shared" si="2"/>
        <v>2183.0200000000004</v>
      </c>
      <c r="I20" s="21">
        <f>122.75+126.6-15-15</f>
        <v>219.35</v>
      </c>
      <c r="J20" s="21">
        <f t="shared" si="3"/>
        <v>8.2256249999999991</v>
      </c>
      <c r="K20" s="21">
        <v>0</v>
      </c>
      <c r="L20" s="21">
        <f t="shared" si="4"/>
        <v>0</v>
      </c>
      <c r="M20" s="21">
        <f>10.6+10.62</f>
        <v>21.22</v>
      </c>
      <c r="N20" s="21">
        <f t="shared" si="5"/>
        <v>6.3659999999999997</v>
      </c>
      <c r="O20" s="21">
        <v>4</v>
      </c>
      <c r="P20" s="21">
        <f t="shared" si="6"/>
        <v>12.76</v>
      </c>
      <c r="Q20" s="21">
        <v>30</v>
      </c>
      <c r="R20" s="21">
        <f t="shared" si="7"/>
        <v>4.5</v>
      </c>
      <c r="S20" s="21">
        <v>0</v>
      </c>
      <c r="T20" s="21">
        <f t="shared" si="0"/>
        <v>0</v>
      </c>
      <c r="U20" s="21">
        <f t="shared" si="8"/>
        <v>31.851624999999999</v>
      </c>
    </row>
    <row r="21" spans="2:21" x14ac:dyDescent="0.25">
      <c r="B21" s="4" t="s">
        <v>27</v>
      </c>
      <c r="C21" s="6">
        <f>5052.1-276.04-588.94-122.13-498.75</f>
        <v>3566.2400000000007</v>
      </c>
      <c r="D21" s="3">
        <f>65.2+65.83+25.05+48.42+13.35+41.13</f>
        <v>258.98</v>
      </c>
      <c r="E21" s="5">
        <v>0.3</v>
      </c>
      <c r="F21" s="1">
        <f t="shared" si="1"/>
        <v>863.26666666666677</v>
      </c>
      <c r="G21" s="1">
        <v>2.66</v>
      </c>
      <c r="H21">
        <f t="shared" si="2"/>
        <v>3307.2600000000007</v>
      </c>
      <c r="I21" s="21">
        <f>212.05+210.92-15-15</f>
        <v>392.97</v>
      </c>
      <c r="J21" s="21">
        <f t="shared" si="3"/>
        <v>14.736375000000001</v>
      </c>
      <c r="K21" s="21">
        <v>0</v>
      </c>
      <c r="L21" s="21">
        <f t="shared" si="4"/>
        <v>0</v>
      </c>
      <c r="M21" s="21">
        <f>12.31+10.94</f>
        <v>23.25</v>
      </c>
      <c r="N21" s="21">
        <f t="shared" si="5"/>
        <v>6.9749999999999996</v>
      </c>
      <c r="O21" s="21">
        <v>4</v>
      </c>
      <c r="P21" s="21">
        <f t="shared" si="6"/>
        <v>12.76</v>
      </c>
      <c r="Q21" s="21">
        <v>30</v>
      </c>
      <c r="R21" s="21">
        <f t="shared" si="7"/>
        <v>4.5</v>
      </c>
      <c r="S21" s="21">
        <v>0</v>
      </c>
      <c r="T21" s="21">
        <f t="shared" si="0"/>
        <v>0</v>
      </c>
      <c r="U21" s="21">
        <f t="shared" si="8"/>
        <v>38.971375000000002</v>
      </c>
    </row>
    <row r="22" spans="2:21" x14ac:dyDescent="0.25">
      <c r="B22" s="4" t="s">
        <v>28</v>
      </c>
      <c r="C22" s="6">
        <f>2362.64-203.58-294.43-157.61</f>
        <v>1707.02</v>
      </c>
      <c r="D22" s="3">
        <f>23.76+16.43+2.31+4.38+19.22+23.01+5.82</f>
        <v>94.93</v>
      </c>
      <c r="E22" s="5">
        <v>0.3</v>
      </c>
      <c r="F22" s="1">
        <f t="shared" si="1"/>
        <v>316.43333333333339</v>
      </c>
      <c r="G22" s="1">
        <v>0</v>
      </c>
      <c r="H22">
        <f t="shared" si="2"/>
        <v>1612.09</v>
      </c>
      <c r="I22" s="21">
        <f>71.96+71.75-15-15</f>
        <v>113.70999999999998</v>
      </c>
      <c r="J22" s="21">
        <f t="shared" si="3"/>
        <v>4.2641249999999991</v>
      </c>
      <c r="K22" s="21">
        <v>0</v>
      </c>
      <c r="L22" s="21">
        <f t="shared" si="4"/>
        <v>0</v>
      </c>
      <c r="M22" s="21">
        <f>14.34+10.7</f>
        <v>25.04</v>
      </c>
      <c r="N22" s="21">
        <f t="shared" si="5"/>
        <v>7.5119999999999996</v>
      </c>
      <c r="O22" s="21">
        <v>4</v>
      </c>
      <c r="P22" s="21">
        <f t="shared" si="6"/>
        <v>12.76</v>
      </c>
      <c r="Q22" s="21">
        <v>30</v>
      </c>
      <c r="R22" s="21">
        <f t="shared" si="7"/>
        <v>4.5</v>
      </c>
      <c r="S22" s="21">
        <v>0</v>
      </c>
      <c r="T22" s="21">
        <f t="shared" si="0"/>
        <v>0</v>
      </c>
      <c r="U22" s="21">
        <f t="shared" si="8"/>
        <v>29.036124999999998</v>
      </c>
    </row>
    <row r="23" spans="2:21" x14ac:dyDescent="0.25">
      <c r="C23">
        <f>SUM(C3:C22)</f>
        <v>25697.239999999998</v>
      </c>
      <c r="D23">
        <f>SUM(D3:D22)</f>
        <v>1346.5900000000004</v>
      </c>
      <c r="G23" s="1">
        <f>SUM(G3:G22)</f>
        <v>28.544999999999998</v>
      </c>
      <c r="H23">
        <f>SUM(H3:H22)</f>
        <v>24350.65</v>
      </c>
      <c r="I23" s="21"/>
      <c r="J23" s="21">
        <f>SUM(J3:J22)</f>
        <v>114.80099999999997</v>
      </c>
      <c r="K23" s="21"/>
      <c r="L23" s="21">
        <f>SUM(L3:L22)</f>
        <v>29.694374999999997</v>
      </c>
      <c r="M23" s="21"/>
      <c r="N23" s="21">
        <f>SUM(N3:N22)</f>
        <v>49.89</v>
      </c>
      <c r="O23" s="21"/>
      <c r="P23" s="21">
        <f>SUM(P3:P22)</f>
        <v>82.940000000000012</v>
      </c>
      <c r="Q23" s="21"/>
      <c r="R23" s="21">
        <f>SUM(R3:R22)</f>
        <v>42</v>
      </c>
      <c r="S23" s="21"/>
      <c r="T23" s="21">
        <f>SUM(T3:T22)</f>
        <v>19.862999999999996</v>
      </c>
      <c r="U23" s="21">
        <f t="shared" si="8"/>
        <v>339.18837499999995</v>
      </c>
    </row>
  </sheetData>
  <mergeCells count="2">
    <mergeCell ref="D1:F1"/>
    <mergeCell ref="I1:U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33"/>
  <sheetViews>
    <sheetView topLeftCell="A4" workbookViewId="0">
      <selection activeCell="B26" sqref="B26:E33"/>
    </sheetView>
  </sheetViews>
  <sheetFormatPr defaultRowHeight="15" x14ac:dyDescent="0.25"/>
  <cols>
    <col min="2" max="2" width="54.7109375" bestFit="1" customWidth="1"/>
    <col min="4" max="4" width="18.42578125" customWidth="1"/>
    <col min="5" max="6" width="11.42578125" customWidth="1"/>
  </cols>
  <sheetData>
    <row r="8" spans="2:5" ht="30" x14ac:dyDescent="0.25">
      <c r="B8" s="20" t="s">
        <v>0</v>
      </c>
      <c r="C8" s="15" t="s">
        <v>19</v>
      </c>
      <c r="D8" s="15" t="s">
        <v>44</v>
      </c>
      <c r="E8" s="15" t="s">
        <v>45</v>
      </c>
    </row>
    <row r="9" spans="2:5" x14ac:dyDescent="0.25">
      <c r="B9" s="16" t="s">
        <v>2</v>
      </c>
      <c r="C9" s="9">
        <v>3906.1200000000003</v>
      </c>
      <c r="D9" s="9">
        <f>156.98+10.37+20.04+28.985</f>
        <v>216.375</v>
      </c>
      <c r="E9" s="10">
        <f>C9/D9</f>
        <v>18.052547660311959</v>
      </c>
    </row>
    <row r="10" spans="2:5" x14ac:dyDescent="0.25">
      <c r="B10" s="16" t="s">
        <v>3</v>
      </c>
      <c r="C10" s="9">
        <v>780.77</v>
      </c>
      <c r="D10" s="9">
        <v>57.575000000000003</v>
      </c>
      <c r="E10" s="10">
        <f t="shared" ref="E10:E22" si="0">C10/D10</f>
        <v>13.560920538428137</v>
      </c>
    </row>
    <row r="11" spans="2:5" x14ac:dyDescent="0.25">
      <c r="B11" s="16" t="s">
        <v>4</v>
      </c>
      <c r="C11" s="9">
        <v>1004.75</v>
      </c>
      <c r="D11" s="9">
        <v>88.6</v>
      </c>
      <c r="E11" s="10">
        <f t="shared" si="0"/>
        <v>11.340293453724605</v>
      </c>
    </row>
    <row r="12" spans="2:5" x14ac:dyDescent="0.25">
      <c r="B12" s="16" t="s">
        <v>5</v>
      </c>
      <c r="C12" s="9">
        <v>790.85</v>
      </c>
      <c r="D12" s="9">
        <v>69.64</v>
      </c>
      <c r="E12" s="10">
        <f t="shared" si="0"/>
        <v>11.356260769672602</v>
      </c>
    </row>
    <row r="13" spans="2:5" x14ac:dyDescent="0.25">
      <c r="B13" s="16" t="s">
        <v>6</v>
      </c>
      <c r="C13" s="9">
        <v>478.04999999999995</v>
      </c>
      <c r="D13" s="9">
        <v>42.314999999999998</v>
      </c>
      <c r="E13" s="10">
        <f t="shared" si="0"/>
        <v>11.2974122651542</v>
      </c>
    </row>
    <row r="14" spans="2:5" x14ac:dyDescent="0.25">
      <c r="B14" s="16" t="s">
        <v>7</v>
      </c>
      <c r="C14" s="9">
        <v>877.47</v>
      </c>
      <c r="D14" s="9">
        <v>77.165000000000006</v>
      </c>
      <c r="E14" s="10">
        <f t="shared" si="0"/>
        <v>11.37134711332858</v>
      </c>
    </row>
    <row r="15" spans="2:5" x14ac:dyDescent="0.25">
      <c r="B15" s="16" t="s">
        <v>8</v>
      </c>
      <c r="C15" s="9">
        <v>1346.46</v>
      </c>
      <c r="D15" s="9">
        <v>121.38</v>
      </c>
      <c r="E15" s="10">
        <f t="shared" si="0"/>
        <v>11.092931290163126</v>
      </c>
    </row>
    <row r="16" spans="2:5" x14ac:dyDescent="0.25">
      <c r="B16" s="16" t="s">
        <v>9</v>
      </c>
      <c r="C16" s="9">
        <v>1339.01</v>
      </c>
      <c r="D16" s="9">
        <v>120.435</v>
      </c>
      <c r="E16" s="10">
        <f t="shared" si="0"/>
        <v>11.11811350521028</v>
      </c>
    </row>
    <row r="17" spans="2:5" x14ac:dyDescent="0.25">
      <c r="B17" s="16" t="s">
        <v>10</v>
      </c>
      <c r="C17" s="9">
        <v>1580.55</v>
      </c>
      <c r="D17" s="9">
        <v>132.13499999999999</v>
      </c>
      <c r="E17" s="10">
        <f t="shared" si="0"/>
        <v>11.96163015098195</v>
      </c>
    </row>
    <row r="18" spans="2:5" x14ac:dyDescent="0.25">
      <c r="B18" s="16" t="s">
        <v>46</v>
      </c>
      <c r="C18" s="9">
        <v>1481.44</v>
      </c>
      <c r="D18" s="9">
        <f>100.365+27.825</f>
        <v>128.19</v>
      </c>
      <c r="E18" s="10">
        <f t="shared" si="0"/>
        <v>11.556595678290039</v>
      </c>
    </row>
    <row r="19" spans="2:5" x14ac:dyDescent="0.25">
      <c r="B19" s="17" t="s">
        <v>26</v>
      </c>
      <c r="C19" s="9">
        <v>2183.0200000000004</v>
      </c>
      <c r="D19" s="9">
        <v>145.58500000000001</v>
      </c>
      <c r="E19" s="10">
        <f t="shared" si="0"/>
        <v>14.99481402617028</v>
      </c>
    </row>
    <row r="20" spans="2:5" x14ac:dyDescent="0.25">
      <c r="B20" s="17" t="s">
        <v>27</v>
      </c>
      <c r="C20" s="9">
        <v>3307.2600000000007</v>
      </c>
      <c r="D20" s="9">
        <v>227.94499999999999</v>
      </c>
      <c r="E20" s="10">
        <f t="shared" si="0"/>
        <v>14.509026300204001</v>
      </c>
    </row>
    <row r="21" spans="2:5" x14ac:dyDescent="0.25">
      <c r="B21" s="17" t="s">
        <v>28</v>
      </c>
      <c r="C21" s="9">
        <v>1612.09</v>
      </c>
      <c r="D21" s="9">
        <f>71.76+37.235</f>
        <v>108.995</v>
      </c>
      <c r="E21" s="10">
        <f t="shared" si="0"/>
        <v>14.790494976833799</v>
      </c>
    </row>
    <row r="22" spans="2:5" x14ac:dyDescent="0.25">
      <c r="B22" s="18" t="s">
        <v>38</v>
      </c>
      <c r="C22" s="9">
        <v>20687.840000000004</v>
      </c>
      <c r="D22" s="9">
        <f>SUM(D9:D21)</f>
        <v>1536.335</v>
      </c>
      <c r="E22" s="10">
        <f t="shared" si="0"/>
        <v>13.465708976232399</v>
      </c>
    </row>
    <row r="26" spans="2:5" ht="30" x14ac:dyDescent="0.25">
      <c r="B26" s="22" t="s">
        <v>0</v>
      </c>
      <c r="C26" s="15" t="s">
        <v>19</v>
      </c>
      <c r="D26" s="15" t="s">
        <v>44</v>
      </c>
      <c r="E26" s="15" t="s">
        <v>45</v>
      </c>
    </row>
    <row r="27" spans="2:5" x14ac:dyDescent="0.25">
      <c r="B27" s="17" t="s">
        <v>26</v>
      </c>
      <c r="C27" s="9">
        <v>2183.0200000000004</v>
      </c>
      <c r="D27" s="9">
        <v>145.58500000000001</v>
      </c>
      <c r="E27" s="10">
        <f t="shared" ref="E27:E29" si="1">C27/D27</f>
        <v>14.99481402617028</v>
      </c>
    </row>
    <row r="28" spans="2:5" x14ac:dyDescent="0.25">
      <c r="B28" s="17" t="s">
        <v>27</v>
      </c>
      <c r="C28" s="9">
        <v>3307.2600000000007</v>
      </c>
      <c r="D28" s="9">
        <v>227.94499999999999</v>
      </c>
      <c r="E28" s="10">
        <f t="shared" si="1"/>
        <v>14.509026300204001</v>
      </c>
    </row>
    <row r="29" spans="2:5" x14ac:dyDescent="0.25">
      <c r="B29" s="17" t="s">
        <v>28</v>
      </c>
      <c r="C29" s="9">
        <v>1612.09</v>
      </c>
      <c r="D29" s="9">
        <f>71.76+37.235</f>
        <v>108.995</v>
      </c>
      <c r="E29" s="10">
        <f t="shared" si="1"/>
        <v>14.790494976833799</v>
      </c>
    </row>
    <row r="30" spans="2:5" x14ac:dyDescent="0.25">
      <c r="B30" s="16" t="s">
        <v>2</v>
      </c>
      <c r="C30" s="9">
        <v>3906.1200000000003</v>
      </c>
      <c r="D30" s="9">
        <f>156.98+10.37+20.04+28.985</f>
        <v>216.375</v>
      </c>
      <c r="E30" s="10">
        <f>C30/D30</f>
        <v>18.052547660311959</v>
      </c>
    </row>
    <row r="31" spans="2:5" x14ac:dyDescent="0.25">
      <c r="B31" s="16" t="s">
        <v>3</v>
      </c>
      <c r="C31" s="9">
        <v>780.77</v>
      </c>
      <c r="D31" s="9">
        <v>57.575000000000003</v>
      </c>
      <c r="E31" s="10">
        <f t="shared" ref="E31:E33" si="2">C31/D31</f>
        <v>13.560920538428137</v>
      </c>
    </row>
    <row r="32" spans="2:5" x14ac:dyDescent="0.25">
      <c r="B32" s="16" t="s">
        <v>4</v>
      </c>
      <c r="C32" s="9">
        <v>1004.75</v>
      </c>
      <c r="D32" s="9">
        <v>88.6</v>
      </c>
      <c r="E32" s="10">
        <f t="shared" si="2"/>
        <v>11.340293453724605</v>
      </c>
    </row>
    <row r="33" spans="2:5" x14ac:dyDescent="0.25">
      <c r="B33" s="18" t="s">
        <v>38</v>
      </c>
      <c r="C33" s="9">
        <f>SUM(C27:C32)</f>
        <v>12794.010000000002</v>
      </c>
      <c r="D33" s="9">
        <f>SUM(D27:D32)</f>
        <v>845.07500000000005</v>
      </c>
      <c r="E33" s="10">
        <f t="shared" si="2"/>
        <v>15.13949649439399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2"/>
  <sheetViews>
    <sheetView tabSelected="1" workbookViewId="0">
      <selection activeCell="B5" sqref="B5:E12"/>
    </sheetView>
  </sheetViews>
  <sheetFormatPr defaultRowHeight="15" x14ac:dyDescent="0.25"/>
  <cols>
    <col min="2" max="2" width="30.5703125" bestFit="1" customWidth="1"/>
    <col min="3" max="3" width="9" bestFit="1" customWidth="1"/>
    <col min="4" max="4" width="15.28515625" customWidth="1"/>
    <col min="5" max="5" width="8.7109375" bestFit="1" customWidth="1"/>
  </cols>
  <sheetData>
    <row r="5" spans="2:5" ht="45" x14ac:dyDescent="0.25">
      <c r="B5" s="22" t="s">
        <v>0</v>
      </c>
      <c r="C5" s="15" t="s">
        <v>19</v>
      </c>
      <c r="D5" s="15" t="s">
        <v>44</v>
      </c>
      <c r="E5" s="15" t="s">
        <v>45</v>
      </c>
    </row>
    <row r="6" spans="2:5" x14ac:dyDescent="0.25">
      <c r="B6" s="17" t="s">
        <v>26</v>
      </c>
      <c r="C6" s="9">
        <f>44.24+75.48+11.24+1.3</f>
        <v>132.26000000000002</v>
      </c>
      <c r="D6" s="10">
        <f>C6/E6</f>
        <v>440.86666666666673</v>
      </c>
      <c r="E6" s="10">
        <v>0.3</v>
      </c>
    </row>
    <row r="7" spans="2:5" x14ac:dyDescent="0.25">
      <c r="B7" s="17" t="s">
        <v>27</v>
      </c>
      <c r="C7" s="9">
        <f>25.05+48.42+13.35+41.13+65.83+65.2</f>
        <v>258.97999999999996</v>
      </c>
      <c r="D7" s="10">
        <f t="shared" ref="D7:D12" si="0">C7/E7</f>
        <v>863.26666666666654</v>
      </c>
      <c r="E7" s="10">
        <v>0.3</v>
      </c>
    </row>
    <row r="8" spans="2:5" x14ac:dyDescent="0.25">
      <c r="B8" s="17" t="s">
        <v>28</v>
      </c>
      <c r="C8" s="9">
        <v>94.93</v>
      </c>
      <c r="D8" s="10">
        <f t="shared" si="0"/>
        <v>316.43333333333339</v>
      </c>
      <c r="E8" s="10">
        <v>0.3</v>
      </c>
    </row>
    <row r="9" spans="2:5" x14ac:dyDescent="0.25">
      <c r="B9" s="16" t="s">
        <v>2</v>
      </c>
      <c r="C9" s="9">
        <v>121.45</v>
      </c>
      <c r="D9" s="10">
        <f t="shared" si="0"/>
        <v>404.83333333333337</v>
      </c>
      <c r="E9" s="10">
        <v>0.3</v>
      </c>
    </row>
    <row r="10" spans="2:5" x14ac:dyDescent="0.25">
      <c r="B10" s="16" t="s">
        <v>3</v>
      </c>
      <c r="C10" s="9">
        <v>31.48</v>
      </c>
      <c r="D10" s="10">
        <f t="shared" si="0"/>
        <v>104.93333333333334</v>
      </c>
      <c r="E10" s="10">
        <v>0.3</v>
      </c>
    </row>
    <row r="11" spans="2:5" x14ac:dyDescent="0.25">
      <c r="B11" s="16" t="s">
        <v>4</v>
      </c>
      <c r="C11" s="9">
        <v>46.75</v>
      </c>
      <c r="D11" s="10">
        <f t="shared" si="0"/>
        <v>155.83333333333334</v>
      </c>
      <c r="E11" s="10">
        <v>0.3</v>
      </c>
    </row>
    <row r="12" spans="2:5" x14ac:dyDescent="0.25">
      <c r="B12" s="18" t="s">
        <v>38</v>
      </c>
      <c r="C12" s="9">
        <f>SUM(C6:C11)</f>
        <v>685.85</v>
      </c>
      <c r="D12" s="10">
        <f t="shared" si="0"/>
        <v>2286.166666666667</v>
      </c>
      <c r="E12" s="10">
        <v>0.3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"/>
  <sheetViews>
    <sheetView zoomScale="90" zoomScaleNormal="90" workbookViewId="0">
      <selection activeCell="B2" sqref="B2:W9"/>
    </sheetView>
  </sheetViews>
  <sheetFormatPr defaultRowHeight="15" x14ac:dyDescent="0.25"/>
  <cols>
    <col min="2" max="2" width="54.7109375" bestFit="1" customWidth="1"/>
    <col min="3" max="3" width="15.5703125" hidden="1" customWidth="1"/>
    <col min="4" max="4" width="8" hidden="1" customWidth="1"/>
    <col min="5" max="5" width="9.7109375" hidden="1" customWidth="1"/>
    <col min="6" max="6" width="15" hidden="1" customWidth="1"/>
    <col min="7" max="7" width="14.85546875" hidden="1" customWidth="1"/>
    <col min="8" max="8" width="15.7109375" hidden="1" customWidth="1"/>
    <col min="9" max="9" width="12.5703125" customWidth="1"/>
    <col min="10" max="10" width="7.140625" bestFit="1" customWidth="1"/>
    <col min="11" max="11" width="14.28515625" bestFit="1" customWidth="1"/>
    <col min="12" max="12" width="5.7109375" bestFit="1" customWidth="1"/>
    <col min="13" max="13" width="12.28515625" bestFit="1" customWidth="1"/>
    <col min="14" max="14" width="5.7109375" bestFit="1" customWidth="1"/>
    <col min="15" max="15" width="6.42578125" bestFit="1" customWidth="1"/>
    <col min="16" max="16" width="5.7109375" bestFit="1" customWidth="1"/>
    <col min="17" max="17" width="15.42578125" customWidth="1"/>
    <col min="18" max="18" width="5.7109375" bestFit="1" customWidth="1"/>
    <col min="19" max="19" width="11" customWidth="1"/>
    <col min="20" max="20" width="5.7109375" customWidth="1"/>
    <col min="21" max="21" width="13.28515625" bestFit="1" customWidth="1"/>
    <col min="22" max="22" width="8" bestFit="1" customWidth="1"/>
    <col min="23" max="23" width="7.140625" bestFit="1" customWidth="1"/>
  </cols>
  <sheetData>
    <row r="1" spans="2:23" x14ac:dyDescent="0.25">
      <c r="B1" s="7"/>
      <c r="C1" s="13" t="s">
        <v>24</v>
      </c>
      <c r="D1" s="25" t="s">
        <v>22</v>
      </c>
      <c r="E1" s="25"/>
      <c r="F1" s="25"/>
      <c r="G1" s="14" t="s">
        <v>23</v>
      </c>
      <c r="H1" s="13" t="s">
        <v>25</v>
      </c>
      <c r="I1" s="26" t="s">
        <v>29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2:23" ht="75" x14ac:dyDescent="0.25">
      <c r="B2" s="14" t="s">
        <v>0</v>
      </c>
      <c r="C2" s="15" t="s">
        <v>19</v>
      </c>
      <c r="D2" s="15" t="s">
        <v>19</v>
      </c>
      <c r="E2" s="15" t="s">
        <v>20</v>
      </c>
      <c r="F2" s="15" t="s">
        <v>21</v>
      </c>
      <c r="G2" s="15" t="s">
        <v>21</v>
      </c>
      <c r="H2" s="15" t="s">
        <v>19</v>
      </c>
      <c r="I2" s="15" t="s">
        <v>40</v>
      </c>
      <c r="J2" s="15" t="s">
        <v>19</v>
      </c>
      <c r="K2" s="15" t="s">
        <v>43</v>
      </c>
      <c r="L2" s="15" t="s">
        <v>19</v>
      </c>
      <c r="M2" s="15" t="s">
        <v>41</v>
      </c>
      <c r="N2" s="15" t="s">
        <v>19</v>
      </c>
      <c r="O2" s="15" t="s">
        <v>31</v>
      </c>
      <c r="P2" s="15" t="s">
        <v>19</v>
      </c>
      <c r="Q2" s="15" t="s">
        <v>39</v>
      </c>
      <c r="R2" s="15" t="s">
        <v>19</v>
      </c>
      <c r="S2" s="15" t="s">
        <v>42</v>
      </c>
      <c r="T2" s="15" t="s">
        <v>19</v>
      </c>
      <c r="U2" s="15" t="s">
        <v>35</v>
      </c>
      <c r="V2" s="15" t="s">
        <v>19</v>
      </c>
      <c r="W2" s="15" t="s">
        <v>37</v>
      </c>
    </row>
    <row r="3" spans="2:23" x14ac:dyDescent="0.25">
      <c r="B3" s="17" t="s">
        <v>26</v>
      </c>
      <c r="C3" s="11">
        <f>3274.59-959.31</f>
        <v>2315.2800000000002</v>
      </c>
      <c r="D3" s="8">
        <f>1.3+44.24+11.24+75.48</f>
        <v>132.26</v>
      </c>
      <c r="E3" s="12">
        <v>0.3</v>
      </c>
      <c r="F3" s="10">
        <f t="shared" ref="F3:F5" si="0">D3/E3</f>
        <v>440.86666666666667</v>
      </c>
      <c r="G3" s="10">
        <v>0</v>
      </c>
      <c r="H3" s="9">
        <f t="shared" ref="H3:H5" si="1">C3-D3</f>
        <v>2183.0200000000004</v>
      </c>
      <c r="I3" s="10">
        <f>108+108</f>
        <v>216</v>
      </c>
      <c r="J3" s="10">
        <f t="shared" ref="J3:J5" si="2">I3*0.1/3</f>
        <v>7.2</v>
      </c>
      <c r="K3" s="10">
        <v>0</v>
      </c>
      <c r="L3" s="10">
        <f t="shared" ref="L3:L5" si="3">K3*0.1</f>
        <v>0</v>
      </c>
      <c r="M3" s="10">
        <f>8.37+10.6</f>
        <v>18.97</v>
      </c>
      <c r="N3" s="10">
        <f t="shared" ref="N3:N5" si="4">M3*0.3</f>
        <v>5.6909999999999998</v>
      </c>
      <c r="O3" s="10">
        <v>4</v>
      </c>
      <c r="P3" s="10">
        <f t="shared" ref="P3:P5" si="5">O3*3.19</f>
        <v>12.76</v>
      </c>
      <c r="Q3" s="10">
        <v>30</v>
      </c>
      <c r="R3" s="10">
        <f t="shared" ref="R3:R5" si="6">Q3*0.1</f>
        <v>3</v>
      </c>
      <c r="S3" s="10">
        <v>0</v>
      </c>
      <c r="T3" s="10">
        <f t="shared" ref="T3:T5" si="7">0.1*2*S3</f>
        <v>0</v>
      </c>
      <c r="U3" s="10">
        <v>0</v>
      </c>
      <c r="V3" s="9">
        <f t="shared" ref="V3:V5" si="8">U3*3*0.3/2</f>
        <v>0</v>
      </c>
      <c r="W3" s="10">
        <f t="shared" ref="W3:W5" si="9">J3+L3+N3+P3+R3+V3</f>
        <v>28.651</v>
      </c>
    </row>
    <row r="4" spans="2:23" x14ac:dyDescent="0.25">
      <c r="B4" s="17" t="s">
        <v>27</v>
      </c>
      <c r="C4" s="11">
        <f>5052.1-276.04-588.94-122.13-498.75</f>
        <v>3566.2400000000007</v>
      </c>
      <c r="D4" s="8">
        <f>65.2+65.83+25.05+48.42+13.35+41.13</f>
        <v>258.98</v>
      </c>
      <c r="E4" s="12">
        <v>0.3</v>
      </c>
      <c r="F4" s="10">
        <f t="shared" si="0"/>
        <v>863.26666666666677</v>
      </c>
      <c r="G4" s="10">
        <v>0</v>
      </c>
      <c r="H4" s="9">
        <f t="shared" si="1"/>
        <v>3307.2600000000007</v>
      </c>
      <c r="I4" s="10">
        <f>192+192</f>
        <v>384</v>
      </c>
      <c r="J4" s="10">
        <f t="shared" si="2"/>
        <v>12.800000000000002</v>
      </c>
      <c r="K4" s="10">
        <v>0</v>
      </c>
      <c r="L4" s="10">
        <f t="shared" si="3"/>
        <v>0</v>
      </c>
      <c r="M4" s="10">
        <f>8.57+9.4</f>
        <v>17.97</v>
      </c>
      <c r="N4" s="10">
        <f t="shared" si="4"/>
        <v>5.3909999999999991</v>
      </c>
      <c r="O4" s="10">
        <v>4</v>
      </c>
      <c r="P4" s="10">
        <f t="shared" si="5"/>
        <v>12.76</v>
      </c>
      <c r="Q4" s="10">
        <v>30</v>
      </c>
      <c r="R4" s="10">
        <f t="shared" si="6"/>
        <v>3</v>
      </c>
      <c r="S4" s="10">
        <v>0</v>
      </c>
      <c r="T4" s="10">
        <f t="shared" si="7"/>
        <v>0</v>
      </c>
      <c r="U4" s="10">
        <v>0</v>
      </c>
      <c r="V4" s="9">
        <f t="shared" si="8"/>
        <v>0</v>
      </c>
      <c r="W4" s="10">
        <f t="shared" si="9"/>
        <v>33.951000000000001</v>
      </c>
    </row>
    <row r="5" spans="2:23" x14ac:dyDescent="0.25">
      <c r="B5" s="17" t="s">
        <v>28</v>
      </c>
      <c r="C5" s="11">
        <f>2362.64-203.58-294.43-157.61</f>
        <v>1707.02</v>
      </c>
      <c r="D5" s="8">
        <f>23.76+16.43+2.31+4.38+19.22+23.01+5.82</f>
        <v>94.93</v>
      </c>
      <c r="E5" s="12">
        <v>0.3</v>
      </c>
      <c r="F5" s="10">
        <f t="shared" si="0"/>
        <v>316.43333333333339</v>
      </c>
      <c r="G5" s="10">
        <v>0</v>
      </c>
      <c r="H5" s="9">
        <f t="shared" si="1"/>
        <v>1612.09</v>
      </c>
      <c r="I5" s="10">
        <f>48+48</f>
        <v>96</v>
      </c>
      <c r="J5" s="10">
        <f t="shared" si="2"/>
        <v>3.2000000000000006</v>
      </c>
      <c r="K5" s="10">
        <v>0</v>
      </c>
      <c r="L5" s="10">
        <f t="shared" si="3"/>
        <v>0</v>
      </c>
      <c r="M5" s="10">
        <f>9.81+8.53</f>
        <v>18.34</v>
      </c>
      <c r="N5" s="10">
        <f t="shared" si="4"/>
        <v>5.5019999999999998</v>
      </c>
      <c r="O5" s="10">
        <v>4</v>
      </c>
      <c r="P5" s="10">
        <f t="shared" si="5"/>
        <v>12.76</v>
      </c>
      <c r="Q5" s="10">
        <v>30</v>
      </c>
      <c r="R5" s="10">
        <f t="shared" si="6"/>
        <v>3</v>
      </c>
      <c r="S5" s="10">
        <v>0</v>
      </c>
      <c r="T5" s="10">
        <f t="shared" si="7"/>
        <v>0</v>
      </c>
      <c r="U5" s="10">
        <v>0</v>
      </c>
      <c r="V5" s="9">
        <f t="shared" si="8"/>
        <v>0</v>
      </c>
      <c r="W5" s="10">
        <f t="shared" si="9"/>
        <v>24.462</v>
      </c>
    </row>
    <row r="6" spans="2:23" x14ac:dyDescent="0.25">
      <c r="B6" s="16" t="s">
        <v>2</v>
      </c>
      <c r="C6" s="9">
        <f>4279.83-114.58-137.68</f>
        <v>4027.57</v>
      </c>
      <c r="D6" s="9">
        <f>3.26+41.45+24.31+4.49+41.11+6.83</f>
        <v>121.44999999999999</v>
      </c>
      <c r="E6" s="10">
        <v>0.3</v>
      </c>
      <c r="F6" s="10">
        <f>D6/E6</f>
        <v>404.83333333333331</v>
      </c>
      <c r="G6" s="10">
        <v>0</v>
      </c>
      <c r="H6" s="9">
        <f>C6-D6</f>
        <v>3906.1200000000003</v>
      </c>
      <c r="I6" s="10">
        <f>108+108</f>
        <v>216</v>
      </c>
      <c r="J6" s="10">
        <f>I6*0.1/3</f>
        <v>7.2</v>
      </c>
      <c r="K6" s="10">
        <v>40.450000000000003</v>
      </c>
      <c r="L6" s="10">
        <f>K6*0.1</f>
        <v>4.0450000000000008</v>
      </c>
      <c r="M6" s="10">
        <f>7.99+7.7+9.86</f>
        <v>25.55</v>
      </c>
      <c r="N6" s="10">
        <f>M6*0.3</f>
        <v>7.665</v>
      </c>
      <c r="O6" s="10">
        <v>5</v>
      </c>
      <c r="P6" s="10">
        <f>O6*3.19</f>
        <v>15.95</v>
      </c>
      <c r="Q6" s="10">
        <v>45</v>
      </c>
      <c r="R6" s="10">
        <f>Q6*0.1</f>
        <v>4.5</v>
      </c>
      <c r="S6" s="10">
        <v>0</v>
      </c>
      <c r="T6" s="10">
        <f t="shared" ref="T6:T8" si="10">0.1*2*S6</f>
        <v>0</v>
      </c>
      <c r="U6" s="10">
        <v>0</v>
      </c>
      <c r="V6" s="9">
        <f t="shared" ref="V6:V8" si="11">U6*3*0.3/2</f>
        <v>0</v>
      </c>
      <c r="W6" s="10">
        <f>J6+L6+N6+P6+R6+V6</f>
        <v>39.36</v>
      </c>
    </row>
    <row r="7" spans="2:23" x14ac:dyDescent="0.25">
      <c r="B7" s="16" t="s">
        <v>3</v>
      </c>
      <c r="C7" s="9">
        <v>812.25</v>
      </c>
      <c r="D7" s="9">
        <f>17.29+14.19</f>
        <v>31.479999999999997</v>
      </c>
      <c r="E7" s="10">
        <v>0.3</v>
      </c>
      <c r="F7" s="10">
        <f t="shared" ref="F7:F8" si="12">D7/E7</f>
        <v>104.93333333333332</v>
      </c>
      <c r="G7" s="10">
        <v>0</v>
      </c>
      <c r="H7" s="9">
        <f t="shared" ref="H7:H8" si="13">C7-D7</f>
        <v>780.77</v>
      </c>
      <c r="I7" s="10">
        <v>0</v>
      </c>
      <c r="J7" s="10">
        <f t="shared" ref="J7:J8" si="14">I7*0.1/3</f>
        <v>0</v>
      </c>
      <c r="K7" s="10">
        <v>44.52</v>
      </c>
      <c r="L7" s="10">
        <f t="shared" ref="L7:L8" si="15">K7*0.1</f>
        <v>4.4520000000000008</v>
      </c>
      <c r="M7" s="10">
        <v>0</v>
      </c>
      <c r="N7" s="10">
        <f t="shared" ref="N7:N8" si="16">M7*0.3</f>
        <v>0</v>
      </c>
      <c r="O7" s="10">
        <v>0</v>
      </c>
      <c r="P7" s="10">
        <f t="shared" ref="P7:P8" si="17">O7*3.19</f>
        <v>0</v>
      </c>
      <c r="Q7" s="10">
        <v>0</v>
      </c>
      <c r="R7" s="10">
        <f t="shared" ref="R7:R8" si="18">Q7*0.1</f>
        <v>0</v>
      </c>
      <c r="S7" s="10">
        <v>0</v>
      </c>
      <c r="T7" s="10">
        <f t="shared" si="10"/>
        <v>0</v>
      </c>
      <c r="U7" s="10">
        <v>0</v>
      </c>
      <c r="V7" s="9">
        <f t="shared" si="11"/>
        <v>0</v>
      </c>
      <c r="W7" s="10">
        <f t="shared" ref="W7:W8" si="19">J7+L7+N7+P7+R7+V7</f>
        <v>4.4520000000000008</v>
      </c>
    </row>
    <row r="8" spans="2:23" x14ac:dyDescent="0.25">
      <c r="B8" s="16" t="s">
        <v>4</v>
      </c>
      <c r="C8" s="9">
        <v>1051.5</v>
      </c>
      <c r="D8" s="9">
        <f>20+26.75</f>
        <v>46.75</v>
      </c>
      <c r="E8" s="10">
        <v>0.3</v>
      </c>
      <c r="F8" s="10">
        <f t="shared" si="12"/>
        <v>155.83333333333334</v>
      </c>
      <c r="G8" s="10">
        <v>0</v>
      </c>
      <c r="H8" s="9">
        <f t="shared" si="13"/>
        <v>1004.75</v>
      </c>
      <c r="I8" s="10">
        <v>0</v>
      </c>
      <c r="J8" s="10">
        <f t="shared" si="14"/>
        <v>0</v>
      </c>
      <c r="K8" s="10">
        <v>88.82</v>
      </c>
      <c r="L8" s="10">
        <f t="shared" si="15"/>
        <v>8.8819999999999997</v>
      </c>
      <c r="M8" s="10">
        <v>0</v>
      </c>
      <c r="N8" s="10">
        <f t="shared" si="16"/>
        <v>0</v>
      </c>
      <c r="O8" s="10">
        <v>0</v>
      </c>
      <c r="P8" s="10">
        <f t="shared" si="17"/>
        <v>0</v>
      </c>
      <c r="Q8" s="10">
        <v>0</v>
      </c>
      <c r="R8" s="10">
        <f t="shared" si="18"/>
        <v>0</v>
      </c>
      <c r="S8" s="10">
        <v>0</v>
      </c>
      <c r="T8" s="10">
        <f t="shared" si="10"/>
        <v>0</v>
      </c>
      <c r="U8" s="10">
        <v>0</v>
      </c>
      <c r="V8" s="9">
        <f t="shared" si="11"/>
        <v>0</v>
      </c>
      <c r="W8" s="10">
        <f t="shared" si="19"/>
        <v>8.8819999999999997</v>
      </c>
    </row>
    <row r="9" spans="2:23" x14ac:dyDescent="0.25">
      <c r="B9" s="18" t="s">
        <v>38</v>
      </c>
      <c r="C9" s="9">
        <f>SUM(C6:C8)</f>
        <v>5891.32</v>
      </c>
      <c r="D9" s="9">
        <f>SUM(D6:D8)</f>
        <v>199.67999999999998</v>
      </c>
      <c r="F9" s="10">
        <f>SUM(F6:F8)</f>
        <v>665.6</v>
      </c>
      <c r="G9" s="10">
        <f>SUM(G6:G8)</f>
        <v>0</v>
      </c>
      <c r="H9" s="9">
        <f>SUM(H3:H8)</f>
        <v>12794.010000000002</v>
      </c>
      <c r="J9" s="9">
        <f>SUM(J3:J8)</f>
        <v>30.400000000000002</v>
      </c>
      <c r="L9" s="9">
        <f>SUM(L3:L8)</f>
        <v>17.379000000000001</v>
      </c>
      <c r="N9" s="9">
        <f>SUM(N3:N8)</f>
        <v>24.248999999999999</v>
      </c>
      <c r="P9" s="9">
        <f>SUM(P3:P8)</f>
        <v>54.230000000000004</v>
      </c>
      <c r="R9" s="9">
        <f>SUM(R3:R8)</f>
        <v>13.5</v>
      </c>
      <c r="S9" s="19"/>
      <c r="T9" s="19"/>
      <c r="V9" s="9">
        <f>SUM(V6:V8)</f>
        <v>0</v>
      </c>
      <c r="W9" s="10">
        <v>139.75</v>
      </c>
    </row>
  </sheetData>
  <mergeCells count="2">
    <mergeCell ref="D1:F1"/>
    <mergeCell ref="I1:W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Planilha2</vt:lpstr>
      <vt:lpstr>Planilha3</vt:lpstr>
      <vt:lpstr>Planilha1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Arthur</cp:lastModifiedBy>
  <dcterms:created xsi:type="dcterms:W3CDTF">2020-03-24T12:44:33Z</dcterms:created>
  <dcterms:modified xsi:type="dcterms:W3CDTF">2021-07-16T13:11:08Z</dcterms:modified>
</cp:coreProperties>
</file>